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ckvnh-my.sharepoint.com/personal/astrating_rockopnh_nl/Documents/nieuwe motorenboek STC/"/>
    </mc:Choice>
  </mc:AlternateContent>
  <xr:revisionPtr revIDLastSave="1024" documentId="8_{2F57E217-EC80-456E-9A21-7773D58F967C}" xr6:coauthVersionLast="47" xr6:coauthVersionMax="47" xr10:uidLastSave="{280D3841-8FB8-47AF-91A0-39EC1D5965EC}"/>
  <bookViews>
    <workbookView xWindow="-120" yWindow="-120" windowWidth="29040" windowHeight="15840" xr2:uid="{4A3399F2-29CF-44AE-BEAD-F5A71E5CE820}"/>
  </bookViews>
  <sheets>
    <sheet name="Toelichting" sheetId="12" r:id="rId1"/>
    <sheet name="Vraag 25" sheetId="1" r:id="rId2"/>
    <sheet name="Vraag 26" sheetId="2" r:id="rId3"/>
    <sheet name="Vraag 27" sheetId="3" r:id="rId4"/>
    <sheet name="Vraag 28" sheetId="4" r:id="rId5"/>
    <sheet name="Vraag 53" sheetId="5" r:id="rId6"/>
    <sheet name="Vraag 54" sheetId="6" r:id="rId7"/>
    <sheet name="Vraag 55" sheetId="9" r:id="rId8"/>
    <sheet name="Vraag 56" sheetId="8" r:id="rId9"/>
    <sheet name="Vraag 57" sheetId="10" r:id="rId10"/>
    <sheet name="Vraag 58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0" l="1"/>
  <c r="C26" i="11"/>
  <c r="C24" i="11"/>
  <c r="C23" i="11"/>
  <c r="C21" i="11"/>
  <c r="C20" i="11"/>
  <c r="C15" i="11"/>
  <c r="C16" i="11" s="1"/>
  <c r="C17" i="11" s="1"/>
  <c r="I23" i="11"/>
  <c r="I17" i="11"/>
  <c r="I16" i="11"/>
  <c r="C24" i="10"/>
  <c r="C27" i="10" l="1"/>
  <c r="C18" i="11"/>
  <c r="I24" i="11"/>
  <c r="I25" i="11" s="1"/>
  <c r="I26" i="11" s="1"/>
  <c r="I27" i="11" s="1"/>
  <c r="I28" i="11" s="1"/>
  <c r="I18" i="11"/>
  <c r="I19" i="11" s="1"/>
  <c r="C15" i="10"/>
  <c r="C31" i="10" s="1"/>
  <c r="C32" i="10" s="1"/>
  <c r="C13" i="10"/>
  <c r="C25" i="10" s="1"/>
  <c r="C26" i="10" s="1"/>
  <c r="C28" i="10" s="1"/>
  <c r="E28" i="10" s="1"/>
  <c r="C29" i="10" s="1"/>
  <c r="C43" i="8"/>
  <c r="C40" i="8"/>
  <c r="C34" i="8"/>
  <c r="C23" i="8"/>
  <c r="F23" i="8" s="1"/>
  <c r="C21" i="8"/>
  <c r="C35" i="8" s="1"/>
  <c r="C42" i="8" s="1"/>
  <c r="F43" i="8" s="1"/>
  <c r="C12" i="8"/>
  <c r="C13" i="8" s="1"/>
  <c r="C11" i="8"/>
  <c r="C30" i="8" s="1"/>
  <c r="C31" i="8" s="1"/>
  <c r="C18" i="9"/>
  <c r="C17" i="9"/>
  <c r="C13" i="9"/>
  <c r="C12" i="9"/>
  <c r="C11" i="9"/>
  <c r="C10" i="8"/>
  <c r="C25" i="6"/>
  <c r="C24" i="6"/>
  <c r="C23" i="6"/>
  <c r="E18" i="6"/>
  <c r="C18" i="6"/>
  <c r="C17" i="6"/>
  <c r="C16" i="6"/>
  <c r="C15" i="6"/>
  <c r="C33" i="5"/>
  <c r="C29" i="5"/>
  <c r="C30" i="5" s="1"/>
  <c r="C28" i="5"/>
  <c r="C18" i="5"/>
  <c r="C19" i="5" s="1"/>
  <c r="C17" i="5"/>
  <c r="C15" i="5"/>
  <c r="C16" i="5" s="1"/>
  <c r="C13" i="5"/>
  <c r="C17" i="4"/>
  <c r="C16" i="4"/>
  <c r="C15" i="4"/>
  <c r="C14" i="4"/>
  <c r="C13" i="4"/>
  <c r="C12" i="4"/>
  <c r="C10" i="4"/>
  <c r="C11" i="3"/>
  <c r="C16" i="2"/>
  <c r="C15" i="2"/>
  <c r="C14" i="2"/>
  <c r="C13" i="2"/>
  <c r="C12" i="2"/>
  <c r="C10" i="2"/>
  <c r="C11" i="1"/>
  <c r="C17" i="10" l="1"/>
  <c r="C14" i="10"/>
  <c r="C16" i="10" s="1"/>
  <c r="C32" i="8"/>
  <c r="I30" i="11"/>
  <c r="H32" i="11" s="1"/>
  <c r="C24" i="8"/>
  <c r="C22" i="8"/>
  <c r="C14" i="8"/>
  <c r="C18" i="10" l="1"/>
  <c r="E18" i="10" s="1"/>
  <c r="F22" i="8"/>
  <c r="C25" i="8" s="1"/>
  <c r="C26" i="8" s="1"/>
  <c r="C39" i="8"/>
  <c r="F40" i="8" s="1"/>
  <c r="F45" i="8" s="1"/>
  <c r="C19" i="10" l="1"/>
  <c r="C33" i="10"/>
  <c r="C34" i="10" s="1"/>
</calcChain>
</file>

<file path=xl/sharedStrings.xml><?xml version="1.0" encoding="utf-8"?>
<sst xmlns="http://schemas.openxmlformats.org/spreadsheetml/2006/main" count="469" uniqueCount="163">
  <si>
    <t>Gegeven</t>
  </si>
  <si>
    <t>Pe</t>
  </si>
  <si>
    <t>kW</t>
  </si>
  <si>
    <t>vaart</t>
  </si>
  <si>
    <t>kn</t>
  </si>
  <si>
    <t>P nieuw</t>
  </si>
  <si>
    <t>V nieuw</t>
  </si>
  <si>
    <t>?</t>
  </si>
  <si>
    <t>Vnieuw</t>
  </si>
  <si>
    <t>Vaart</t>
  </si>
  <si>
    <t>SFOC</t>
  </si>
  <si>
    <t>g/kWh</t>
  </si>
  <si>
    <t>afstand</t>
  </si>
  <si>
    <t>M</t>
  </si>
  <si>
    <t>reis</t>
  </si>
  <si>
    <t>a)</t>
  </si>
  <si>
    <t>tijd</t>
  </si>
  <si>
    <t>uur</t>
  </si>
  <si>
    <t>b)</t>
  </si>
  <si>
    <t xml:space="preserve">reis min </t>
  </si>
  <si>
    <t>Nieuwe snelheid</t>
  </si>
  <si>
    <t>Kn</t>
  </si>
  <si>
    <t>Vermogen</t>
  </si>
  <si>
    <t>c)</t>
  </si>
  <si>
    <t>Verbruik 1</t>
  </si>
  <si>
    <t>kg</t>
  </si>
  <si>
    <t>Verbruik 2</t>
  </si>
  <si>
    <t>verschil</t>
  </si>
  <si>
    <t>snelheid</t>
  </si>
  <si>
    <t>toerental</t>
  </si>
  <si>
    <t>rpm</t>
  </si>
  <si>
    <t>snelheid 2</t>
  </si>
  <si>
    <t>toerental 2</t>
  </si>
  <si>
    <t>Reis</t>
  </si>
  <si>
    <t>extra tijd</t>
  </si>
  <si>
    <t>vermogen 2</t>
  </si>
  <si>
    <t>d)</t>
  </si>
  <si>
    <t>e)</t>
  </si>
  <si>
    <t>brandstof 1</t>
  </si>
  <si>
    <t>brandstof 2</t>
  </si>
  <si>
    <t>aantal cilinders</t>
  </si>
  <si>
    <t>4-slag</t>
  </si>
  <si>
    <t>mm</t>
  </si>
  <si>
    <t>cilinder diameter</t>
  </si>
  <si>
    <t>slag</t>
  </si>
  <si>
    <t>Pe per cilinder</t>
  </si>
  <si>
    <t>Cm</t>
  </si>
  <si>
    <t>m/s</t>
  </si>
  <si>
    <t>Ho</t>
  </si>
  <si>
    <t>MJ/kg</t>
  </si>
  <si>
    <t>ɳ</t>
  </si>
  <si>
    <t>Ptoe</t>
  </si>
  <si>
    <t xml:space="preserve">pe </t>
  </si>
  <si>
    <t>Mpa</t>
  </si>
  <si>
    <t>M brandstof</t>
  </si>
  <si>
    <t>kg/h</t>
  </si>
  <si>
    <t>kg/dag</t>
  </si>
  <si>
    <t>Gegevens extra</t>
  </si>
  <si>
    <t>Snelheid</t>
  </si>
  <si>
    <t>verbruik brandstof</t>
  </si>
  <si>
    <t>ton/dag</t>
  </si>
  <si>
    <t>Afstand</t>
  </si>
  <si>
    <t>vertrek datum</t>
  </si>
  <si>
    <t>aankomst</t>
  </si>
  <si>
    <t>f)</t>
  </si>
  <si>
    <t>verbruik</t>
  </si>
  <si>
    <t>ton</t>
  </si>
  <si>
    <t>g)</t>
  </si>
  <si>
    <t>⁰C</t>
  </si>
  <si>
    <t>kg/m3</t>
  </si>
  <si>
    <t>soortelijke massa 1</t>
  </si>
  <si>
    <t>Temperatuur 2</t>
  </si>
  <si>
    <t>soortelijke massa 2</t>
  </si>
  <si>
    <r>
      <t>( 15</t>
    </r>
    <r>
      <rPr>
        <sz val="11"/>
        <color theme="1"/>
        <rFont val="Calibri"/>
        <family val="2"/>
      </rPr>
      <t>⁰C)</t>
    </r>
  </si>
  <si>
    <t>van maximium</t>
  </si>
  <si>
    <t>kJ/kg</t>
  </si>
  <si>
    <t>bar</t>
  </si>
  <si>
    <t>diameter</t>
  </si>
  <si>
    <t xml:space="preserve">Pe </t>
  </si>
  <si>
    <t>Mb</t>
  </si>
  <si>
    <t>kg per uur bij 100% vermogen</t>
  </si>
  <si>
    <t>Extra gegeven</t>
  </si>
  <si>
    <t xml:space="preserve">afstand </t>
  </si>
  <si>
    <t>verbruik 2</t>
  </si>
  <si>
    <t>Reis verbruik</t>
  </si>
  <si>
    <t xml:space="preserve">kg </t>
  </si>
  <si>
    <t>snelheid max</t>
  </si>
  <si>
    <t>Toerental</t>
  </si>
  <si>
    <t>omw/min</t>
  </si>
  <si>
    <t xml:space="preserve">Toerental 10 kn </t>
  </si>
  <si>
    <t>Bij:</t>
  </si>
  <si>
    <t>Mb per uur</t>
  </si>
  <si>
    <t>kg/uur</t>
  </si>
  <si>
    <t xml:space="preserve">c) </t>
  </si>
  <si>
    <t>Mb reis</t>
  </si>
  <si>
    <t>Tijd plus</t>
  </si>
  <si>
    <t>restant</t>
  </si>
  <si>
    <t>Mijl</t>
  </si>
  <si>
    <t>tijd restant</t>
  </si>
  <si>
    <t>be</t>
  </si>
  <si>
    <t>Mb 12,5kn</t>
  </si>
  <si>
    <t>Verbruik reis 10kn</t>
  </si>
  <si>
    <t>Snelheid vraag a)</t>
  </si>
  <si>
    <t>Verbruik reis 14kn</t>
  </si>
  <si>
    <t>halve reis</t>
  </si>
  <si>
    <t xml:space="preserve">Verbruik  1/2 reis 14 kn </t>
  </si>
  <si>
    <t>twee snelheden totaal</t>
  </si>
  <si>
    <t>Verschil</t>
  </si>
  <si>
    <t>Tijd min</t>
  </si>
  <si>
    <t>nieuwe tijd</t>
  </si>
  <si>
    <t>Verbruik reis 10 kn  hoofdmotor</t>
  </si>
  <si>
    <t>hulpmotor</t>
  </si>
  <si>
    <t>hulpmotoren</t>
  </si>
  <si>
    <t>Verbruik 14 kn f)</t>
  </si>
  <si>
    <t>totaal</t>
  </si>
  <si>
    <t>cilinders</t>
  </si>
  <si>
    <t>Be</t>
  </si>
  <si>
    <t>Hulpmotor</t>
  </si>
  <si>
    <t>Dichtheid</t>
  </si>
  <si>
    <t>t/m3</t>
  </si>
  <si>
    <t>Verbruik</t>
  </si>
  <si>
    <t>Verbruik hoofd</t>
  </si>
  <si>
    <t>Verbruk hulp</t>
  </si>
  <si>
    <t>Totaal</t>
  </si>
  <si>
    <t>volume</t>
  </si>
  <si>
    <t>m3</t>
  </si>
  <si>
    <t>Kw</t>
  </si>
  <si>
    <t>Verbruik hulp</t>
  </si>
  <si>
    <t>Volume</t>
  </si>
  <si>
    <t>Tijd verschil</t>
  </si>
  <si>
    <t>Brandstof verschil</t>
  </si>
  <si>
    <t xml:space="preserve">Vertrek </t>
  </si>
  <si>
    <t>Afstand totaal</t>
  </si>
  <si>
    <t>SECA afstand</t>
  </si>
  <si>
    <t>snelheid SECA</t>
  </si>
  <si>
    <t>prijs VLSFO</t>
  </si>
  <si>
    <t>U$</t>
  </si>
  <si>
    <t>prijs ULSFO</t>
  </si>
  <si>
    <t>Verbruik SECA:</t>
  </si>
  <si>
    <t>Tijd SECA</t>
  </si>
  <si>
    <t>Verbruik per dag</t>
  </si>
  <si>
    <t>Verbruik SECA</t>
  </si>
  <si>
    <t>kosten</t>
  </si>
  <si>
    <t>Verbruik buiten</t>
  </si>
  <si>
    <t>SECA</t>
  </si>
  <si>
    <t>totale tijd</t>
  </si>
  <si>
    <t>min SECA</t>
  </si>
  <si>
    <t>Kosten</t>
  </si>
  <si>
    <t>Tijd</t>
  </si>
  <si>
    <t>Verbruik dag</t>
  </si>
  <si>
    <t>verbruik reis</t>
  </si>
  <si>
    <t xml:space="preserve">ton </t>
  </si>
  <si>
    <t>Tijd buiten</t>
  </si>
  <si>
    <t>Er zijn twee Exel files met de uitwerkingen van de sommen van hoofdstuk 22 en 27:</t>
  </si>
  <si>
    <t>De gele velden zijn in te vullen, alle andere velden zijn beveiligd.</t>
  </si>
  <si>
    <t>De  roze achtige velden zijn omrekeningen voor eenheden of tussen antwoorden</t>
  </si>
  <si>
    <t>De groene velden zijn de antwoorden.</t>
  </si>
  <si>
    <t>Alle sheets zijn dus beveiligd, maar hebben geen wachtwoord.</t>
  </si>
  <si>
    <t>Gevaagd:</t>
  </si>
  <si>
    <t>met  correctie 0,64</t>
  </si>
  <si>
    <t>Nieuw vermogen</t>
  </si>
  <si>
    <t xml:space="preserve">kn, situatie c) </t>
  </si>
  <si>
    <t>De blauwe velden geven de originele waarde om de gele waarde terug te kunnen zetten als de gele waarde veranderd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</si>
</sst>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2" fontId="0" fillId="5" borderId="1" xfId="0" applyNumberFormat="1" applyFill="1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0" fontId="0" fillId="6" borderId="1" xfId="0" applyFill="1" applyBorder="1"/>
    <xf numFmtId="1" fontId="0" fillId="6" borderId="1" xfId="0" applyNumberFormat="1" applyFill="1" applyBorder="1"/>
    <xf numFmtId="2" fontId="0" fillId="6" borderId="1" xfId="0" applyNumberFormat="1" applyFill="1" applyBorder="1"/>
    <xf numFmtId="0" fontId="0" fillId="5" borderId="1" xfId="0" applyFill="1" applyBorder="1"/>
    <xf numFmtId="1" fontId="0" fillId="5" borderId="1" xfId="0" applyNumberFormat="1" applyFill="1" applyBorder="1"/>
    <xf numFmtId="164" fontId="0" fillId="5" borderId="1" xfId="0" applyNumberFormat="1" applyFill="1" applyBorder="1"/>
    <xf numFmtId="0" fontId="1" fillId="0" borderId="1" xfId="0" applyFont="1" applyBorder="1"/>
    <xf numFmtId="10" fontId="0" fillId="5" borderId="1" xfId="0" applyNumberFormat="1" applyFill="1" applyBorder="1"/>
    <xf numFmtId="22" fontId="0" fillId="3" borderId="1" xfId="0" applyNumberFormat="1" applyFill="1" applyBorder="1"/>
    <xf numFmtId="2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9" fontId="0" fillId="3" borderId="1" xfId="0" applyNumberFormat="1" applyFill="1" applyBorder="1"/>
    <xf numFmtId="1" fontId="0" fillId="3" borderId="1" xfId="0" applyNumberFormat="1" applyFill="1" applyBorder="1"/>
    <xf numFmtId="9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6" borderId="0" xfId="0" applyNumberFormat="1" applyFill="1"/>
    <xf numFmtId="2" fontId="0" fillId="6" borderId="0" xfId="0" applyNumberFormat="1" applyFill="1"/>
    <xf numFmtId="165" fontId="0" fillId="5" borderId="0" xfId="0" applyNumberFormat="1" applyFill="1"/>
    <xf numFmtId="10" fontId="0" fillId="5" borderId="0" xfId="0" applyNumberFormat="1" applyFill="1"/>
    <xf numFmtId="0" fontId="0" fillId="0" borderId="0" xfId="0" applyBorder="1"/>
    <xf numFmtId="0" fontId="0" fillId="0" borderId="0" xfId="0" applyFill="1" applyBorder="1"/>
    <xf numFmtId="0" fontId="0" fillId="0" borderId="1" xfId="0" applyFill="1" applyBorder="1"/>
    <xf numFmtId="10" fontId="0" fillId="3" borderId="1" xfId="0" applyNumberFormat="1" applyFill="1" applyBorder="1"/>
    <xf numFmtId="10" fontId="0" fillId="2" borderId="1" xfId="0" applyNumberForma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409295</xdr:colOff>
      <xdr:row>4</xdr:row>
      <xdr:rowOff>161833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F013A3F-8BA9-43E1-B8DF-2043B0BDC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238095" cy="7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561975</xdr:colOff>
      <xdr:row>0</xdr:row>
      <xdr:rowOff>180976</xdr:rowOff>
    </xdr:from>
    <xdr:to>
      <xdr:col>9</xdr:col>
      <xdr:colOff>409575</xdr:colOff>
      <xdr:row>18</xdr:row>
      <xdr:rowOff>7278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7BE1814-6A84-451F-8F45-C99DA52FD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00375" y="180976"/>
          <a:ext cx="2895600" cy="3255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26</xdr:row>
      <xdr:rowOff>161925</xdr:rowOff>
    </xdr:from>
    <xdr:to>
      <xdr:col>6</xdr:col>
      <xdr:colOff>257175</xdr:colOff>
      <xdr:row>30</xdr:row>
      <xdr:rowOff>152400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BB53962C-333A-265B-C751-150CD343D973}"/>
            </a:ext>
          </a:extLst>
        </xdr:cNvPr>
        <xdr:cNvCxnSpPr/>
      </xdr:nvCxnSpPr>
      <xdr:spPr>
        <a:xfrm>
          <a:off x="2828925" y="5114925"/>
          <a:ext cx="1914525" cy="752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247650</xdr:colOff>
      <xdr:row>30</xdr:row>
      <xdr:rowOff>38100</xdr:rowOff>
    </xdr:from>
    <xdr:to>
      <xdr:col>8</xdr:col>
      <xdr:colOff>495300</xdr:colOff>
      <xdr:row>31</xdr:row>
      <xdr:rowOff>28575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3175EC30-8EBB-105E-2756-CC8770A0B245}"/>
            </a:ext>
          </a:extLst>
        </xdr:cNvPr>
        <xdr:cNvCxnSpPr/>
      </xdr:nvCxnSpPr>
      <xdr:spPr>
        <a:xfrm flipH="1">
          <a:off x="6438900" y="5753100"/>
          <a:ext cx="247650" cy="180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D576-95FD-4247-9CA9-3FE5FADA74BE}">
  <dimension ref="B21:M31"/>
  <sheetViews>
    <sheetView tabSelected="1" workbookViewId="0">
      <selection activeCell="R25" sqref="R25"/>
    </sheetView>
  </sheetViews>
  <sheetFormatPr defaultRowHeight="15" x14ac:dyDescent="0.25"/>
  <sheetData>
    <row r="21" spans="2:13" x14ac:dyDescent="0.25">
      <c r="B21" s="5" t="s">
        <v>153</v>
      </c>
      <c r="C21" s="5"/>
      <c r="D21" s="5"/>
      <c r="E21" s="5"/>
      <c r="F21" s="5"/>
      <c r="G21" s="5"/>
      <c r="H21" s="5"/>
      <c r="I21" s="5"/>
      <c r="J21" s="5"/>
    </row>
    <row r="22" spans="2:13" x14ac:dyDescent="0.25">
      <c r="B22" s="4"/>
    </row>
    <row r="23" spans="2:13" x14ac:dyDescent="0.25">
      <c r="B23" s="6" t="s">
        <v>154</v>
      </c>
      <c r="C23" s="6"/>
      <c r="D23" s="6"/>
      <c r="E23" s="6"/>
      <c r="F23" s="6"/>
      <c r="G23" s="6"/>
      <c r="H23" s="6"/>
    </row>
    <row r="24" spans="2:13" x14ac:dyDescent="0.25">
      <c r="B24" s="4"/>
    </row>
    <row r="25" spans="2:13" x14ac:dyDescent="0.25">
      <c r="B25" s="7" t="s">
        <v>162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2:13" x14ac:dyDescent="0.25">
      <c r="B26" s="4"/>
    </row>
    <row r="27" spans="2:13" x14ac:dyDescent="0.25">
      <c r="B27" s="8" t="s">
        <v>155</v>
      </c>
      <c r="C27" s="8"/>
      <c r="D27" s="8"/>
      <c r="E27" s="8"/>
      <c r="F27" s="8"/>
      <c r="G27" s="8"/>
      <c r="H27" s="8"/>
      <c r="I27" s="8"/>
    </row>
    <row r="28" spans="2:13" x14ac:dyDescent="0.25">
      <c r="B28" s="4"/>
    </row>
    <row r="29" spans="2:13" x14ac:dyDescent="0.25">
      <c r="B29" s="9" t="s">
        <v>156</v>
      </c>
      <c r="C29" s="9"/>
      <c r="D29" s="9"/>
      <c r="E29" s="9"/>
    </row>
    <row r="30" spans="2:13" x14ac:dyDescent="0.25">
      <c r="B30" s="4"/>
    </row>
    <row r="31" spans="2:13" x14ac:dyDescent="0.25">
      <c r="B31" s="5" t="s">
        <v>157</v>
      </c>
      <c r="C31" s="5"/>
      <c r="D31" s="5"/>
      <c r="E31" s="5"/>
      <c r="F31" s="5"/>
      <c r="G31" s="5"/>
      <c r="H31" s="5"/>
    </row>
  </sheetData>
  <sheetProtection sheet="1" objects="1" scenarios="1"/>
  <mergeCells count="6">
    <mergeCell ref="B31:H31"/>
    <mergeCell ref="B25:M25"/>
    <mergeCell ref="B21:J21"/>
    <mergeCell ref="B23:H23"/>
    <mergeCell ref="B27:I27"/>
    <mergeCell ref="B29:E2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67A1D-F547-4687-BDE1-72227DEC5487}">
  <dimension ref="A3:H34"/>
  <sheetViews>
    <sheetView workbookViewId="0">
      <selection activeCell="C22" sqref="C22"/>
    </sheetView>
  </sheetViews>
  <sheetFormatPr defaultRowHeight="15" x14ac:dyDescent="0.25"/>
  <cols>
    <col min="2" max="2" width="17.28515625" customWidth="1"/>
  </cols>
  <sheetData>
    <row r="3" spans="1:8" x14ac:dyDescent="0.25">
      <c r="B3" t="s">
        <v>0</v>
      </c>
    </row>
    <row r="5" spans="1:8" x14ac:dyDescent="0.25">
      <c r="B5" s="10" t="s">
        <v>115</v>
      </c>
      <c r="C5" s="14">
        <v>12</v>
      </c>
      <c r="G5" s="13">
        <v>12</v>
      </c>
    </row>
    <row r="6" spans="1:8" x14ac:dyDescent="0.25">
      <c r="B6" s="10" t="s">
        <v>45</v>
      </c>
      <c r="C6" s="14">
        <v>4500</v>
      </c>
      <c r="D6" t="s">
        <v>2</v>
      </c>
      <c r="G6" s="13">
        <v>4500</v>
      </c>
      <c r="H6" t="s">
        <v>2</v>
      </c>
    </row>
    <row r="7" spans="1:8" x14ac:dyDescent="0.25">
      <c r="B7" s="10" t="s">
        <v>9</v>
      </c>
      <c r="C7" s="14">
        <v>18</v>
      </c>
      <c r="D7" t="s">
        <v>4</v>
      </c>
      <c r="G7" s="13">
        <v>18</v>
      </c>
      <c r="H7" t="s">
        <v>4</v>
      </c>
    </row>
    <row r="8" spans="1:8" x14ac:dyDescent="0.25">
      <c r="B8" s="10" t="s">
        <v>12</v>
      </c>
      <c r="C8" s="14">
        <v>2100</v>
      </c>
      <c r="D8" t="s">
        <v>13</v>
      </c>
      <c r="G8" s="13">
        <v>2100</v>
      </c>
      <c r="H8" t="s">
        <v>13</v>
      </c>
    </row>
    <row r="9" spans="1:8" x14ac:dyDescent="0.25">
      <c r="B9" s="10" t="s">
        <v>116</v>
      </c>
      <c r="C9" s="14">
        <v>177</v>
      </c>
      <c r="D9" t="s">
        <v>11</v>
      </c>
      <c r="G9" s="13">
        <v>177</v>
      </c>
      <c r="H9" t="s">
        <v>11</v>
      </c>
    </row>
    <row r="10" spans="1:8" x14ac:dyDescent="0.25">
      <c r="B10" s="10" t="s">
        <v>118</v>
      </c>
      <c r="C10" s="14">
        <v>0.93</v>
      </c>
      <c r="D10" t="s">
        <v>119</v>
      </c>
      <c r="G10" s="13">
        <v>0.93</v>
      </c>
      <c r="H10" t="s">
        <v>119</v>
      </c>
    </row>
    <row r="11" spans="1:8" x14ac:dyDescent="0.25">
      <c r="B11" s="10" t="s">
        <v>117</v>
      </c>
      <c r="C11" s="14">
        <v>600</v>
      </c>
      <c r="D11" t="s">
        <v>55</v>
      </c>
      <c r="G11" s="13">
        <v>600</v>
      </c>
      <c r="H11" t="s">
        <v>55</v>
      </c>
    </row>
    <row r="13" spans="1:8" x14ac:dyDescent="0.25">
      <c r="A13" t="s">
        <v>15</v>
      </c>
      <c r="B13" s="10" t="s">
        <v>22</v>
      </c>
      <c r="C13" s="15">
        <f>C6*C5</f>
        <v>54000</v>
      </c>
      <c r="D13" t="s">
        <v>2</v>
      </c>
    </row>
    <row r="14" spans="1:8" x14ac:dyDescent="0.25">
      <c r="B14" s="10" t="s">
        <v>120</v>
      </c>
      <c r="C14" s="15">
        <f>C9*C13/1000</f>
        <v>9558</v>
      </c>
      <c r="D14" t="s">
        <v>55</v>
      </c>
    </row>
    <row r="15" spans="1:8" x14ac:dyDescent="0.25">
      <c r="B15" s="10" t="s">
        <v>16</v>
      </c>
      <c r="C15" s="17">
        <f>C8/C7</f>
        <v>116.66666666666667</v>
      </c>
      <c r="D15" t="s">
        <v>17</v>
      </c>
    </row>
    <row r="16" spans="1:8" x14ac:dyDescent="0.25">
      <c r="B16" s="10" t="s">
        <v>121</v>
      </c>
      <c r="C16" s="15">
        <f>C15*C14</f>
        <v>1115100</v>
      </c>
      <c r="D16" t="s">
        <v>85</v>
      </c>
    </row>
    <row r="17" spans="1:7" x14ac:dyDescent="0.25">
      <c r="B17" s="10" t="s">
        <v>122</v>
      </c>
      <c r="C17" s="15">
        <f>C11*C15</f>
        <v>70000</v>
      </c>
      <c r="D17" t="s">
        <v>25</v>
      </c>
    </row>
    <row r="18" spans="1:7" x14ac:dyDescent="0.25">
      <c r="B18" s="10" t="s">
        <v>123</v>
      </c>
      <c r="C18" s="15">
        <f>C16+C17</f>
        <v>1185100</v>
      </c>
      <c r="D18" t="s">
        <v>25</v>
      </c>
      <c r="E18" s="15">
        <f>C18/1000</f>
        <v>1185.0999999999999</v>
      </c>
      <c r="F18" t="s">
        <v>66</v>
      </c>
    </row>
    <row r="19" spans="1:7" x14ac:dyDescent="0.25">
      <c r="B19" s="10" t="s">
        <v>124</v>
      </c>
      <c r="C19" s="18">
        <f>E18/C10</f>
        <v>1274.3010752688169</v>
      </c>
      <c r="D19" t="s">
        <v>125</v>
      </c>
    </row>
    <row r="20" spans="1:7" x14ac:dyDescent="0.25">
      <c r="B20" s="34"/>
      <c r="C20" s="35"/>
    </row>
    <row r="21" spans="1:7" x14ac:dyDescent="0.25">
      <c r="B21" s="34"/>
      <c r="C21" s="35"/>
    </row>
    <row r="22" spans="1:7" x14ac:dyDescent="0.25">
      <c r="B22" s="36" t="s">
        <v>160</v>
      </c>
      <c r="C22" s="38">
        <v>0.75</v>
      </c>
      <c r="G22" s="37">
        <v>0.75</v>
      </c>
    </row>
    <row r="23" spans="1:7" x14ac:dyDescent="0.25">
      <c r="A23" t="s">
        <v>18</v>
      </c>
      <c r="B23" s="10" t="s">
        <v>9</v>
      </c>
      <c r="C23" s="15">
        <f>C22^(1/3)*C7</f>
        <v>16.354085335489255</v>
      </c>
      <c r="D23" t="s">
        <v>4</v>
      </c>
    </row>
    <row r="24" spans="1:7" x14ac:dyDescent="0.25">
      <c r="B24" s="10" t="s">
        <v>16</v>
      </c>
      <c r="C24" s="15">
        <f>C8/C23</f>
        <v>128.40828190145771</v>
      </c>
      <c r="D24" t="s">
        <v>17</v>
      </c>
    </row>
    <row r="25" spans="1:7" x14ac:dyDescent="0.25">
      <c r="B25" s="10" t="s">
        <v>22</v>
      </c>
      <c r="C25" s="15">
        <f>C13*0.75</f>
        <v>40500</v>
      </c>
      <c r="D25" t="s">
        <v>126</v>
      </c>
    </row>
    <row r="26" spans="1:7" x14ac:dyDescent="0.25">
      <c r="B26" s="10" t="s">
        <v>121</v>
      </c>
      <c r="C26" s="16">
        <f>C25*C24*C9/1000</f>
        <v>920494.76881059958</v>
      </c>
      <c r="D26" t="s">
        <v>25</v>
      </c>
    </row>
    <row r="27" spans="1:7" x14ac:dyDescent="0.25">
      <c r="B27" s="10" t="s">
        <v>127</v>
      </c>
      <c r="C27" s="16">
        <f>C24*C11</f>
        <v>77044.969140874629</v>
      </c>
      <c r="D27" t="s">
        <v>25</v>
      </c>
    </row>
    <row r="28" spans="1:7" x14ac:dyDescent="0.25">
      <c r="B28" s="10" t="s">
        <v>123</v>
      </c>
      <c r="C28" s="16">
        <f>C26+C27</f>
        <v>997539.73795147426</v>
      </c>
      <c r="D28" t="s">
        <v>25</v>
      </c>
      <c r="E28" s="17">
        <f>C28/1000</f>
        <v>997.53973795147431</v>
      </c>
      <c r="F28" t="s">
        <v>66</v>
      </c>
    </row>
    <row r="29" spans="1:7" x14ac:dyDescent="0.25">
      <c r="B29" s="10" t="s">
        <v>128</v>
      </c>
      <c r="C29" s="18">
        <f>E28/C10</f>
        <v>1072.6233741413703</v>
      </c>
      <c r="D29" t="s">
        <v>125</v>
      </c>
    </row>
    <row r="31" spans="1:7" x14ac:dyDescent="0.25">
      <c r="A31" t="s">
        <v>23</v>
      </c>
      <c r="B31" t="s">
        <v>129</v>
      </c>
      <c r="C31" s="31">
        <f>C24-C15</f>
        <v>11.741615234791041</v>
      </c>
      <c r="D31" t="s">
        <v>17</v>
      </c>
    </row>
    <row r="32" spans="1:7" x14ac:dyDescent="0.25">
      <c r="C32" s="32">
        <f>C31/C15</f>
        <v>0.10064241629820891</v>
      </c>
    </row>
    <row r="33" spans="2:4" x14ac:dyDescent="0.25">
      <c r="B33" t="s">
        <v>130</v>
      </c>
      <c r="C33" s="31">
        <f>E18-E28</f>
        <v>187.5602620485256</v>
      </c>
      <c r="D33" t="s">
        <v>66</v>
      </c>
    </row>
    <row r="34" spans="2:4" x14ac:dyDescent="0.25">
      <c r="C34" s="33">
        <f>C33/E18</f>
        <v>0.15826534642521781</v>
      </c>
    </row>
  </sheetData>
  <sheetProtection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349CF-6E97-4DCF-BE83-BDDAFE03FC2A}">
  <dimension ref="A3:K32"/>
  <sheetViews>
    <sheetView workbookViewId="0">
      <selection activeCell="D34" sqref="D34"/>
    </sheetView>
  </sheetViews>
  <sheetFormatPr defaultRowHeight="15" x14ac:dyDescent="0.25"/>
  <cols>
    <col min="2" max="2" width="15.140625" customWidth="1"/>
    <col min="3" max="3" width="15.5703125" bestFit="1" customWidth="1"/>
    <col min="8" max="8" width="16.42578125" customWidth="1"/>
    <col min="10" max="10" width="18.5703125" customWidth="1"/>
  </cols>
  <sheetData>
    <row r="3" spans="1:11" x14ac:dyDescent="0.25">
      <c r="B3" t="s">
        <v>0</v>
      </c>
    </row>
    <row r="5" spans="1:11" x14ac:dyDescent="0.25">
      <c r="B5" s="10" t="s">
        <v>131</v>
      </c>
      <c r="C5" s="24">
        <v>44847.583333333336</v>
      </c>
      <c r="J5" s="23">
        <v>44847.583333333336</v>
      </c>
    </row>
    <row r="6" spans="1:11" x14ac:dyDescent="0.25">
      <c r="B6" s="10" t="s">
        <v>63</v>
      </c>
      <c r="C6" s="24">
        <v>44864.791666666664</v>
      </c>
      <c r="J6" s="23">
        <v>44864.791666666664</v>
      </c>
    </row>
    <row r="7" spans="1:11" x14ac:dyDescent="0.25">
      <c r="B7" s="10" t="s">
        <v>132</v>
      </c>
      <c r="C7" s="14">
        <v>6200</v>
      </c>
      <c r="D7" t="s">
        <v>13</v>
      </c>
      <c r="J7" s="13">
        <v>6200</v>
      </c>
      <c r="K7" t="s">
        <v>13</v>
      </c>
    </row>
    <row r="8" spans="1:11" x14ac:dyDescent="0.25">
      <c r="B8" s="10" t="s">
        <v>133</v>
      </c>
      <c r="C8" s="14">
        <v>450</v>
      </c>
      <c r="D8" t="s">
        <v>13</v>
      </c>
      <c r="J8" s="13">
        <v>450</v>
      </c>
      <c r="K8" t="s">
        <v>13</v>
      </c>
    </row>
    <row r="9" spans="1:11" x14ac:dyDescent="0.25">
      <c r="B9" s="10" t="s">
        <v>134</v>
      </c>
      <c r="C9" s="14">
        <v>12</v>
      </c>
      <c r="D9" t="s">
        <v>161</v>
      </c>
      <c r="J9" s="13">
        <v>12</v>
      </c>
      <c r="K9" t="s">
        <v>4</v>
      </c>
    </row>
    <row r="10" spans="1:11" x14ac:dyDescent="0.25">
      <c r="B10" s="10" t="s">
        <v>28</v>
      </c>
      <c r="C10" s="14">
        <v>18</v>
      </c>
      <c r="D10" t="s">
        <v>4</v>
      </c>
      <c r="J10" s="13">
        <v>18</v>
      </c>
      <c r="K10" t="s">
        <v>4</v>
      </c>
    </row>
    <row r="11" spans="1:11" x14ac:dyDescent="0.25">
      <c r="B11" s="10" t="s">
        <v>120</v>
      </c>
      <c r="C11" s="14">
        <v>95</v>
      </c>
      <c r="D11" t="s">
        <v>60</v>
      </c>
      <c r="J11" s="13">
        <v>95</v>
      </c>
      <c r="K11" t="s">
        <v>60</v>
      </c>
    </row>
    <row r="12" spans="1:11" x14ac:dyDescent="0.25">
      <c r="B12" s="10" t="s">
        <v>135</v>
      </c>
      <c r="C12" s="14">
        <v>460</v>
      </c>
      <c r="D12" t="s">
        <v>136</v>
      </c>
      <c r="J12" s="13">
        <v>460</v>
      </c>
      <c r="K12" t="s">
        <v>136</v>
      </c>
    </row>
    <row r="13" spans="1:11" x14ac:dyDescent="0.25">
      <c r="B13" s="10" t="s">
        <v>137</v>
      </c>
      <c r="C13" s="14">
        <v>660</v>
      </c>
      <c r="D13" t="s">
        <v>136</v>
      </c>
      <c r="J13" s="13">
        <v>660</v>
      </c>
      <c r="K13" t="s">
        <v>136</v>
      </c>
    </row>
    <row r="15" spans="1:11" x14ac:dyDescent="0.25">
      <c r="A15" t="s">
        <v>15</v>
      </c>
      <c r="B15" s="10" t="s">
        <v>148</v>
      </c>
      <c r="C15" s="15">
        <f>(C6-C5)*24</f>
        <v>412.99999999988358</v>
      </c>
      <c r="D15" t="s">
        <v>17</v>
      </c>
      <c r="G15" t="s">
        <v>23</v>
      </c>
      <c r="H15" t="s">
        <v>138</v>
      </c>
    </row>
    <row r="16" spans="1:11" x14ac:dyDescent="0.25">
      <c r="B16" s="10" t="s">
        <v>28</v>
      </c>
      <c r="C16" s="17">
        <f>C7/C15</f>
        <v>15.012106537534498</v>
      </c>
      <c r="D16" t="s">
        <v>4</v>
      </c>
      <c r="H16" s="10" t="s">
        <v>139</v>
      </c>
      <c r="I16" s="15">
        <f>C8/C9</f>
        <v>37.5</v>
      </c>
      <c r="J16" t="s">
        <v>17</v>
      </c>
    </row>
    <row r="17" spans="1:10" x14ac:dyDescent="0.25">
      <c r="B17" s="10" t="s">
        <v>149</v>
      </c>
      <c r="C17" s="17">
        <f>(C16/C10)^3*C11</f>
        <v>55.110075182997988</v>
      </c>
      <c r="D17" t="s">
        <v>60</v>
      </c>
      <c r="H17" s="10" t="s">
        <v>140</v>
      </c>
      <c r="I17" s="17">
        <f>(C9/C10)^3*C11</f>
        <v>28.148148148148145</v>
      </c>
      <c r="J17" t="s">
        <v>60</v>
      </c>
    </row>
    <row r="18" spans="1:10" x14ac:dyDescent="0.25">
      <c r="B18" s="10" t="s">
        <v>150</v>
      </c>
      <c r="C18" s="19">
        <f>C17*C15/24</f>
        <v>948.35254377382307</v>
      </c>
      <c r="D18" t="s">
        <v>151</v>
      </c>
      <c r="H18" s="10" t="s">
        <v>141</v>
      </c>
      <c r="I18" s="17">
        <f>I16/24*I17</f>
        <v>43.981481481481474</v>
      </c>
      <c r="J18" t="s">
        <v>60</v>
      </c>
    </row>
    <row r="19" spans="1:10" x14ac:dyDescent="0.25">
      <c r="H19" s="10" t="s">
        <v>142</v>
      </c>
      <c r="I19" s="16">
        <f>I18*C13</f>
        <v>29027.777777777774</v>
      </c>
      <c r="J19" t="s">
        <v>136</v>
      </c>
    </row>
    <row r="20" spans="1:10" x14ac:dyDescent="0.25">
      <c r="A20" t="s">
        <v>18</v>
      </c>
      <c r="B20" s="10" t="s">
        <v>139</v>
      </c>
      <c r="C20" s="17">
        <f>C8/C16</f>
        <v>29.975806451604452</v>
      </c>
      <c r="D20" t="s">
        <v>17</v>
      </c>
    </row>
    <row r="21" spans="1:10" x14ac:dyDescent="0.25">
      <c r="B21" s="10" t="s">
        <v>147</v>
      </c>
      <c r="C21" s="16">
        <f>C20/24*C17*C13</f>
        <v>45429.146048520226</v>
      </c>
      <c r="D21" t="s">
        <v>136</v>
      </c>
      <c r="H21" t="s">
        <v>143</v>
      </c>
    </row>
    <row r="22" spans="1:10" x14ac:dyDescent="0.25">
      <c r="H22" t="s">
        <v>144</v>
      </c>
    </row>
    <row r="23" spans="1:10" x14ac:dyDescent="0.25">
      <c r="B23" t="s">
        <v>152</v>
      </c>
      <c r="C23" s="31">
        <f>C15-C20</f>
        <v>383.02419354827913</v>
      </c>
      <c r="D23" t="s">
        <v>17</v>
      </c>
      <c r="H23" s="10" t="s">
        <v>145</v>
      </c>
      <c r="I23" s="15">
        <f>(C6-C5)*24</f>
        <v>412.99999999988358</v>
      </c>
      <c r="J23" t="s">
        <v>17</v>
      </c>
    </row>
    <row r="24" spans="1:10" x14ac:dyDescent="0.25">
      <c r="B24" t="s">
        <v>147</v>
      </c>
      <c r="C24" s="30">
        <f>C23/24*C17*C12</f>
        <v>404579.43198092934</v>
      </c>
      <c r="D24" t="s">
        <v>136</v>
      </c>
      <c r="H24" s="10" t="s">
        <v>146</v>
      </c>
      <c r="I24" s="15">
        <f>I23-I16</f>
        <v>375.49999999988358</v>
      </c>
      <c r="J24" t="s">
        <v>17</v>
      </c>
    </row>
    <row r="25" spans="1:10" x14ac:dyDescent="0.25">
      <c r="H25" s="10" t="s">
        <v>28</v>
      </c>
      <c r="I25" s="17">
        <f>(C7-C8)/I24</f>
        <v>15.312916111855612</v>
      </c>
      <c r="J25" t="s">
        <v>4</v>
      </c>
    </row>
    <row r="26" spans="1:10" x14ac:dyDescent="0.25">
      <c r="B26" s="10" t="s">
        <v>123</v>
      </c>
      <c r="C26" s="19">
        <f>C24+C21</f>
        <v>450008.57802944956</v>
      </c>
      <c r="D26" t="s">
        <v>136</v>
      </c>
      <c r="H26" s="10" t="s">
        <v>140</v>
      </c>
      <c r="I26" s="17">
        <f>(I25/C10)^3*C11</f>
        <v>58.489754706302406</v>
      </c>
      <c r="J26" t="s">
        <v>60</v>
      </c>
    </row>
    <row r="27" spans="1:10" x14ac:dyDescent="0.25">
      <c r="H27" s="10" t="s">
        <v>33</v>
      </c>
      <c r="I27" s="17">
        <f>I26/24*I24</f>
        <v>915.12095384207271</v>
      </c>
      <c r="J27" t="s">
        <v>66</v>
      </c>
    </row>
    <row r="28" spans="1:10" x14ac:dyDescent="0.25">
      <c r="H28" s="10" t="s">
        <v>147</v>
      </c>
      <c r="I28" s="16">
        <f>I27*C12</f>
        <v>420955.63876735343</v>
      </c>
      <c r="J28" t="s">
        <v>136</v>
      </c>
    </row>
    <row r="30" spans="1:10" x14ac:dyDescent="0.25">
      <c r="H30" s="10" t="s">
        <v>123</v>
      </c>
      <c r="I30" s="19">
        <f>I19+I28</f>
        <v>449983.41654513119</v>
      </c>
      <c r="J30" t="s">
        <v>136</v>
      </c>
    </row>
    <row r="32" spans="1:10" x14ac:dyDescent="0.25">
      <c r="F32" t="s">
        <v>107</v>
      </c>
      <c r="H32" s="19">
        <f>I30-C26</f>
        <v>-25.161484318377916</v>
      </c>
      <c r="I32" t="s">
        <v>136</v>
      </c>
    </row>
  </sheetData>
  <sheetProtection sheet="1" objects="1" scenarios="1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606AA-8BF6-4113-97D0-9F4AEF093D18}">
  <dimension ref="A3:G11"/>
  <sheetViews>
    <sheetView workbookViewId="0">
      <selection activeCell="C8" sqref="C8"/>
    </sheetView>
  </sheetViews>
  <sheetFormatPr defaultRowHeight="15" x14ac:dyDescent="0.25"/>
  <sheetData>
    <row r="3" spans="1:7" x14ac:dyDescent="0.25">
      <c r="B3" t="s">
        <v>0</v>
      </c>
    </row>
    <row r="5" spans="1:7" x14ac:dyDescent="0.25">
      <c r="B5" s="10" t="s">
        <v>1</v>
      </c>
      <c r="C5" s="14">
        <v>3850</v>
      </c>
      <c r="D5" t="s">
        <v>2</v>
      </c>
      <c r="F5" s="13">
        <v>3850</v>
      </c>
      <c r="G5" t="s">
        <v>2</v>
      </c>
    </row>
    <row r="6" spans="1:7" x14ac:dyDescent="0.25">
      <c r="B6" s="10" t="s">
        <v>3</v>
      </c>
      <c r="C6" s="14">
        <v>14</v>
      </c>
      <c r="D6" t="s">
        <v>4</v>
      </c>
      <c r="F6" s="13">
        <v>14</v>
      </c>
      <c r="G6" t="s">
        <v>4</v>
      </c>
    </row>
    <row r="8" spans="1:7" x14ac:dyDescent="0.25">
      <c r="B8" s="10" t="s">
        <v>5</v>
      </c>
      <c r="C8" s="14">
        <v>2580</v>
      </c>
      <c r="D8" t="s">
        <v>2</v>
      </c>
      <c r="F8" s="13">
        <v>2580</v>
      </c>
      <c r="G8" t="s">
        <v>2</v>
      </c>
    </row>
    <row r="9" spans="1:7" x14ac:dyDescent="0.25">
      <c r="B9" s="10" t="s">
        <v>6</v>
      </c>
      <c r="C9" s="11" t="s">
        <v>7</v>
      </c>
      <c r="D9" t="s">
        <v>4</v>
      </c>
    </row>
    <row r="11" spans="1:7" x14ac:dyDescent="0.25">
      <c r="A11" t="s">
        <v>158</v>
      </c>
      <c r="B11" s="10" t="s">
        <v>8</v>
      </c>
      <c r="C11" s="12">
        <f>(C8/C5)^(1/3)*C6</f>
        <v>12.251267648656469</v>
      </c>
      <c r="D11" t="s">
        <v>4</v>
      </c>
    </row>
  </sheetData>
  <sheetProtection sheet="1" objects="1" scenarios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F07D2-5D51-4123-BCE2-F59C04CA14A6}">
  <dimension ref="A3:G16"/>
  <sheetViews>
    <sheetView workbookViewId="0">
      <selection activeCell="C5" sqref="C5:C8"/>
    </sheetView>
  </sheetViews>
  <sheetFormatPr defaultRowHeight="15" x14ac:dyDescent="0.25"/>
  <cols>
    <col min="2" max="2" width="17.140625" customWidth="1"/>
  </cols>
  <sheetData>
    <row r="3" spans="1:7" x14ac:dyDescent="0.25">
      <c r="B3" t="s">
        <v>0</v>
      </c>
    </row>
    <row r="5" spans="1:7" x14ac:dyDescent="0.25">
      <c r="B5" s="10" t="s">
        <v>1</v>
      </c>
      <c r="C5" s="14">
        <v>4500</v>
      </c>
      <c r="D5" t="s">
        <v>2</v>
      </c>
      <c r="F5" s="13">
        <v>4500</v>
      </c>
      <c r="G5" t="s">
        <v>2</v>
      </c>
    </row>
    <row r="6" spans="1:7" x14ac:dyDescent="0.25">
      <c r="B6" s="10" t="s">
        <v>9</v>
      </c>
      <c r="C6" s="14">
        <v>15</v>
      </c>
      <c r="D6" t="s">
        <v>4</v>
      </c>
      <c r="F6" s="13">
        <v>15</v>
      </c>
      <c r="G6" t="s">
        <v>4</v>
      </c>
    </row>
    <row r="7" spans="1:7" x14ac:dyDescent="0.25">
      <c r="B7" s="10" t="s">
        <v>10</v>
      </c>
      <c r="C7" s="14">
        <v>180</v>
      </c>
      <c r="D7" t="s">
        <v>11</v>
      </c>
      <c r="F7" s="13">
        <v>180</v>
      </c>
      <c r="G7" t="s">
        <v>11</v>
      </c>
    </row>
    <row r="8" spans="1:7" x14ac:dyDescent="0.25">
      <c r="B8" s="10" t="s">
        <v>14</v>
      </c>
      <c r="C8" s="14">
        <v>225</v>
      </c>
      <c r="D8" t="s">
        <v>13</v>
      </c>
      <c r="F8" s="13">
        <v>225</v>
      </c>
      <c r="G8" t="s">
        <v>13</v>
      </c>
    </row>
    <row r="10" spans="1:7" x14ac:dyDescent="0.25">
      <c r="A10" s="2" t="s">
        <v>15</v>
      </c>
      <c r="B10" s="10" t="s">
        <v>16</v>
      </c>
      <c r="C10" s="18">
        <f>C8/C6</f>
        <v>15</v>
      </c>
      <c r="D10" t="s">
        <v>17</v>
      </c>
    </row>
    <row r="11" spans="1:7" x14ac:dyDescent="0.25">
      <c r="A11" s="2" t="s">
        <v>18</v>
      </c>
      <c r="B11" s="10" t="s">
        <v>19</v>
      </c>
      <c r="C11" s="15">
        <v>2</v>
      </c>
      <c r="D11" t="s">
        <v>17</v>
      </c>
    </row>
    <row r="12" spans="1:7" x14ac:dyDescent="0.25">
      <c r="A12" s="2"/>
      <c r="B12" s="10" t="s">
        <v>20</v>
      </c>
      <c r="C12" s="17">
        <f>C8/(C10-C11)</f>
        <v>17.307692307692307</v>
      </c>
      <c r="D12" t="s">
        <v>21</v>
      </c>
    </row>
    <row r="13" spans="1:7" x14ac:dyDescent="0.25">
      <c r="A13" s="2"/>
      <c r="B13" s="10" t="s">
        <v>22</v>
      </c>
      <c r="C13" s="19">
        <f>(C12/C6)^3*C5</f>
        <v>6912.835685025032</v>
      </c>
      <c r="D13" t="s">
        <v>2</v>
      </c>
    </row>
    <row r="14" spans="1:7" x14ac:dyDescent="0.25">
      <c r="A14" s="2" t="s">
        <v>23</v>
      </c>
      <c r="B14" s="10" t="s">
        <v>24</v>
      </c>
      <c r="C14" s="15">
        <f>C5*C7*C10/1000</f>
        <v>12150</v>
      </c>
      <c r="D14" t="s">
        <v>25</v>
      </c>
    </row>
    <row r="15" spans="1:7" x14ac:dyDescent="0.25">
      <c r="B15" s="10" t="s">
        <v>26</v>
      </c>
      <c r="C15" s="16">
        <f>C13*C7*(C10-C11)/1000</f>
        <v>16176.035502958577</v>
      </c>
      <c r="D15" t="s">
        <v>25</v>
      </c>
    </row>
    <row r="16" spans="1:7" x14ac:dyDescent="0.25">
      <c r="B16" s="10" t="s">
        <v>27</v>
      </c>
      <c r="C16" s="19">
        <f>C15-C14</f>
        <v>4026.0355029585771</v>
      </c>
      <c r="D16" t="s">
        <v>25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BEA9-5F6E-4CE6-9DB1-2ACA8E2DF0E4}">
  <dimension ref="B3:G11"/>
  <sheetViews>
    <sheetView workbookViewId="0">
      <selection activeCell="B11" sqref="B11:C11"/>
    </sheetView>
  </sheetViews>
  <sheetFormatPr defaultRowHeight="15" x14ac:dyDescent="0.25"/>
  <cols>
    <col min="2" max="2" width="10.5703125" customWidth="1"/>
  </cols>
  <sheetData>
    <row r="3" spans="2:7" x14ac:dyDescent="0.25">
      <c r="B3" t="s">
        <v>0</v>
      </c>
    </row>
    <row r="5" spans="2:7" x14ac:dyDescent="0.25">
      <c r="B5" s="10" t="s">
        <v>28</v>
      </c>
      <c r="C5" s="14">
        <v>13.5</v>
      </c>
      <c r="D5" t="s">
        <v>4</v>
      </c>
      <c r="F5" s="13">
        <v>13.5</v>
      </c>
      <c r="G5" t="s">
        <v>4</v>
      </c>
    </row>
    <row r="6" spans="2:7" x14ac:dyDescent="0.25">
      <c r="B6" s="10" t="s">
        <v>29</v>
      </c>
      <c r="C6" s="14">
        <v>600</v>
      </c>
      <c r="D6" t="s">
        <v>30</v>
      </c>
      <c r="F6" s="13">
        <v>600</v>
      </c>
      <c r="G6" t="s">
        <v>30</v>
      </c>
    </row>
    <row r="7" spans="2:7" x14ac:dyDescent="0.25">
      <c r="B7" s="10" t="s">
        <v>31</v>
      </c>
      <c r="C7" s="14">
        <v>10.199999999999999</v>
      </c>
      <c r="D7" t="s">
        <v>4</v>
      </c>
      <c r="F7" s="13">
        <v>10.199999999999999</v>
      </c>
      <c r="G7" t="s">
        <v>4</v>
      </c>
    </row>
    <row r="9" spans="2:7" x14ac:dyDescent="0.25">
      <c r="B9" s="10" t="s">
        <v>32</v>
      </c>
      <c r="C9" s="11" t="s">
        <v>7</v>
      </c>
    </row>
    <row r="11" spans="2:7" x14ac:dyDescent="0.25">
      <c r="B11" s="18" t="s">
        <v>32</v>
      </c>
      <c r="C11" s="12">
        <f>C7/C5*C6</f>
        <v>453.33333333333331</v>
      </c>
      <c r="D11" t="s">
        <v>30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83FF-ED96-4104-89E3-84543B646C10}">
  <dimension ref="A2:G17"/>
  <sheetViews>
    <sheetView workbookViewId="0">
      <selection activeCell="C4" sqref="C4:C8"/>
    </sheetView>
  </sheetViews>
  <sheetFormatPr defaultRowHeight="15" x14ac:dyDescent="0.25"/>
  <cols>
    <col min="2" max="2" width="11.140625" customWidth="1"/>
  </cols>
  <sheetData>
    <row r="2" spans="1:7" x14ac:dyDescent="0.25">
      <c r="B2" t="s">
        <v>0</v>
      </c>
    </row>
    <row r="4" spans="1:7" x14ac:dyDescent="0.25">
      <c r="B4" s="10" t="s">
        <v>1</v>
      </c>
      <c r="C4" s="14">
        <v>6357</v>
      </c>
      <c r="D4" t="s">
        <v>2</v>
      </c>
      <c r="F4" s="13">
        <v>6357</v>
      </c>
      <c r="G4" t="s">
        <v>2</v>
      </c>
    </row>
    <row r="5" spans="1:7" x14ac:dyDescent="0.25">
      <c r="B5" s="10" t="s">
        <v>29</v>
      </c>
      <c r="C5" s="14">
        <v>74</v>
      </c>
      <c r="D5" t="s">
        <v>30</v>
      </c>
      <c r="F5" s="13">
        <v>74</v>
      </c>
      <c r="G5" t="s">
        <v>30</v>
      </c>
    </row>
    <row r="6" spans="1:7" x14ac:dyDescent="0.25">
      <c r="B6" s="10" t="s">
        <v>28</v>
      </c>
      <c r="C6" s="14">
        <v>14.5</v>
      </c>
      <c r="D6" t="s">
        <v>4</v>
      </c>
      <c r="F6" s="13">
        <v>14.5</v>
      </c>
      <c r="G6" t="s">
        <v>4</v>
      </c>
    </row>
    <row r="7" spans="1:7" x14ac:dyDescent="0.25">
      <c r="B7" s="10" t="s">
        <v>10</v>
      </c>
      <c r="C7" s="14">
        <v>185</v>
      </c>
      <c r="D7" t="s">
        <v>11</v>
      </c>
      <c r="F7" s="13">
        <v>185</v>
      </c>
      <c r="G7" t="s">
        <v>11</v>
      </c>
    </row>
    <row r="8" spans="1:7" x14ac:dyDescent="0.25">
      <c r="B8" s="10" t="s">
        <v>33</v>
      </c>
      <c r="C8" s="14">
        <v>325</v>
      </c>
      <c r="D8" t="s">
        <v>13</v>
      </c>
      <c r="F8" s="13">
        <v>325</v>
      </c>
      <c r="G8" t="s">
        <v>13</v>
      </c>
    </row>
    <row r="10" spans="1:7" x14ac:dyDescent="0.25">
      <c r="A10" s="2" t="s">
        <v>15</v>
      </c>
      <c r="B10" s="10" t="s">
        <v>16</v>
      </c>
      <c r="C10" s="18">
        <f>C8/C6</f>
        <v>22.413793103448278</v>
      </c>
      <c r="D10" t="s">
        <v>17</v>
      </c>
    </row>
    <row r="11" spans="1:7" x14ac:dyDescent="0.25">
      <c r="A11" s="2" t="s">
        <v>18</v>
      </c>
      <c r="B11" s="10" t="s">
        <v>34</v>
      </c>
      <c r="C11" s="14">
        <v>4</v>
      </c>
      <c r="D11" t="s">
        <v>17</v>
      </c>
    </row>
    <row r="12" spans="1:7" x14ac:dyDescent="0.25">
      <c r="A12" s="2"/>
      <c r="B12" s="10" t="s">
        <v>31</v>
      </c>
      <c r="C12" s="12">
        <f>C8/(C11+C10)</f>
        <v>12.304177545691905</v>
      </c>
      <c r="D12" t="s">
        <v>4</v>
      </c>
    </row>
    <row r="13" spans="1:7" x14ac:dyDescent="0.25">
      <c r="A13" s="2" t="s">
        <v>23</v>
      </c>
      <c r="B13" s="10" t="s">
        <v>35</v>
      </c>
      <c r="C13" s="19">
        <f>(C12/C6)^3*C4</f>
        <v>3884.2392500095266</v>
      </c>
      <c r="D13" t="s">
        <v>2</v>
      </c>
    </row>
    <row r="14" spans="1:7" x14ac:dyDescent="0.25">
      <c r="A14" s="2" t="s">
        <v>36</v>
      </c>
      <c r="B14" s="10" t="s">
        <v>32</v>
      </c>
      <c r="C14" s="20">
        <f>C12/C6*C5</f>
        <v>62.793733681462136</v>
      </c>
      <c r="D14" t="s">
        <v>30</v>
      </c>
    </row>
    <row r="15" spans="1:7" x14ac:dyDescent="0.25">
      <c r="A15" s="2" t="s">
        <v>37</v>
      </c>
      <c r="B15" s="10" t="s">
        <v>38</v>
      </c>
      <c r="C15" s="19">
        <f>C4*C7*C10/1000</f>
        <v>26359.62931034483</v>
      </c>
      <c r="D15" t="s">
        <v>25</v>
      </c>
    </row>
    <row r="16" spans="1:7" x14ac:dyDescent="0.25">
      <c r="A16" s="2"/>
      <c r="B16" s="10" t="s">
        <v>39</v>
      </c>
      <c r="C16" s="19">
        <f>(C10+C11)*C13*C7/1000</f>
        <v>18980.536004098278</v>
      </c>
      <c r="D16" t="s">
        <v>25</v>
      </c>
    </row>
    <row r="17" spans="1:4" x14ac:dyDescent="0.25">
      <c r="A17" s="2"/>
      <c r="B17" s="10" t="s">
        <v>27</v>
      </c>
      <c r="C17" s="19">
        <f>C15-C16</f>
        <v>7379.0933062465519</v>
      </c>
      <c r="D17" t="s">
        <v>25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7D368-32ED-4ECF-8D41-323EC63A6399}">
  <dimension ref="A2:G33"/>
  <sheetViews>
    <sheetView workbookViewId="0">
      <selection activeCell="J31" sqref="J31"/>
    </sheetView>
  </sheetViews>
  <sheetFormatPr defaultRowHeight="15" x14ac:dyDescent="0.25"/>
  <cols>
    <col min="2" max="2" width="18.42578125" customWidth="1"/>
    <col min="3" max="3" width="14.5703125" bestFit="1" customWidth="1"/>
    <col min="6" max="6" width="18.42578125" customWidth="1"/>
  </cols>
  <sheetData>
    <row r="2" spans="1:7" x14ac:dyDescent="0.25">
      <c r="B2" t="s">
        <v>0</v>
      </c>
    </row>
    <row r="4" spans="1:7" x14ac:dyDescent="0.25">
      <c r="B4" s="10" t="s">
        <v>40</v>
      </c>
      <c r="C4" s="14">
        <v>6</v>
      </c>
      <c r="F4" s="13">
        <v>6</v>
      </c>
    </row>
    <row r="5" spans="1:7" x14ac:dyDescent="0.25">
      <c r="B5" s="10" t="s">
        <v>41</v>
      </c>
      <c r="C5" s="14">
        <v>2</v>
      </c>
      <c r="F5" s="13">
        <v>2</v>
      </c>
    </row>
    <row r="6" spans="1:7" x14ac:dyDescent="0.25">
      <c r="B6" s="10" t="s">
        <v>43</v>
      </c>
      <c r="C6" s="14">
        <v>320</v>
      </c>
      <c r="D6" t="s">
        <v>42</v>
      </c>
      <c r="F6" s="13">
        <v>320</v>
      </c>
      <c r="G6" t="s">
        <v>42</v>
      </c>
    </row>
    <row r="7" spans="1:7" x14ac:dyDescent="0.25">
      <c r="B7" s="10" t="s">
        <v>44</v>
      </c>
      <c r="C7" s="14">
        <v>400</v>
      </c>
      <c r="D7" t="s">
        <v>42</v>
      </c>
      <c r="F7" s="13">
        <v>400</v>
      </c>
      <c r="G7" t="s">
        <v>42</v>
      </c>
    </row>
    <row r="8" spans="1:7" x14ac:dyDescent="0.25">
      <c r="B8" s="10" t="s">
        <v>45</v>
      </c>
      <c r="C8" s="14">
        <v>580</v>
      </c>
      <c r="D8" t="s">
        <v>2</v>
      </c>
      <c r="F8" s="13">
        <v>580</v>
      </c>
      <c r="G8" t="s">
        <v>2</v>
      </c>
    </row>
    <row r="9" spans="1:7" x14ac:dyDescent="0.25">
      <c r="B9" s="10" t="s">
        <v>29</v>
      </c>
      <c r="C9" s="14">
        <v>750</v>
      </c>
      <c r="D9" t="s">
        <v>30</v>
      </c>
      <c r="F9" s="13">
        <v>750</v>
      </c>
      <c r="G9" t="s">
        <v>30</v>
      </c>
    </row>
    <row r="10" spans="1:7" x14ac:dyDescent="0.25">
      <c r="B10" s="10" t="s">
        <v>10</v>
      </c>
      <c r="C10" s="14">
        <v>178.8</v>
      </c>
      <c r="D10" t="s">
        <v>11</v>
      </c>
      <c r="F10" s="13">
        <v>178.8</v>
      </c>
      <c r="G10" t="s">
        <v>11</v>
      </c>
    </row>
    <row r="11" spans="1:7" x14ac:dyDescent="0.25">
      <c r="B11" s="10" t="s">
        <v>48</v>
      </c>
      <c r="C11" s="14">
        <v>41.5</v>
      </c>
      <c r="D11" t="s">
        <v>49</v>
      </c>
      <c r="F11" s="13">
        <v>41.5</v>
      </c>
      <c r="G11" t="s">
        <v>49</v>
      </c>
    </row>
    <row r="13" spans="1:7" x14ac:dyDescent="0.25">
      <c r="A13" s="2" t="s">
        <v>15</v>
      </c>
      <c r="B13" s="10" t="s">
        <v>46</v>
      </c>
      <c r="C13" s="18">
        <f>2*C7*C9/60/1000</f>
        <v>10</v>
      </c>
      <c r="D13" t="s">
        <v>47</v>
      </c>
    </row>
    <row r="14" spans="1:7" x14ac:dyDescent="0.25">
      <c r="A14" s="2" t="s">
        <v>18</v>
      </c>
      <c r="B14" s="3" t="s">
        <v>50</v>
      </c>
    </row>
    <row r="15" spans="1:7" x14ac:dyDescent="0.25">
      <c r="A15" s="2"/>
      <c r="B15" s="21" t="s">
        <v>51</v>
      </c>
      <c r="C15" s="15">
        <f>C10*C11*C8/3600</f>
        <v>1195.4766666666667</v>
      </c>
      <c r="D15" t="s">
        <v>2</v>
      </c>
    </row>
    <row r="16" spans="1:7" x14ac:dyDescent="0.25">
      <c r="A16" s="2"/>
      <c r="B16" s="21" t="s">
        <v>50</v>
      </c>
      <c r="C16" s="22">
        <f>C8/C15</f>
        <v>0.48516212501010753</v>
      </c>
    </row>
    <row r="17" spans="1:7" x14ac:dyDescent="0.25">
      <c r="A17" s="2" t="s">
        <v>23</v>
      </c>
      <c r="B17" s="21" t="s">
        <v>52</v>
      </c>
      <c r="C17" s="12">
        <f>C8/(PI()/4*C6^2*C7*C9/60/2000)*1000</f>
        <v>2.8846833435406034</v>
      </c>
      <c r="D17" t="s">
        <v>53</v>
      </c>
    </row>
    <row r="18" spans="1:7" x14ac:dyDescent="0.25">
      <c r="A18" s="2" t="s">
        <v>36</v>
      </c>
      <c r="B18" s="21" t="s">
        <v>54</v>
      </c>
      <c r="C18" s="12">
        <f>C10*C8*C4/1000</f>
        <v>622.22400000000005</v>
      </c>
      <c r="D18" t="s">
        <v>55</v>
      </c>
    </row>
    <row r="19" spans="1:7" x14ac:dyDescent="0.25">
      <c r="A19" s="2"/>
      <c r="C19" s="19">
        <f>C18*24</f>
        <v>14933.376</v>
      </c>
      <c r="D19" t="s">
        <v>56</v>
      </c>
    </row>
    <row r="20" spans="1:7" x14ac:dyDescent="0.25">
      <c r="A20" s="2"/>
    </row>
    <row r="21" spans="1:7" x14ac:dyDescent="0.25">
      <c r="A21" s="2"/>
      <c r="B21" t="s">
        <v>57</v>
      </c>
    </row>
    <row r="22" spans="1:7" x14ac:dyDescent="0.25">
      <c r="A22" s="2"/>
      <c r="B22" s="10" t="s">
        <v>58</v>
      </c>
      <c r="C22" s="14">
        <v>14</v>
      </c>
      <c r="D22" t="s">
        <v>4</v>
      </c>
      <c r="F22" s="13">
        <v>14</v>
      </c>
      <c r="G22" t="s">
        <v>4</v>
      </c>
    </row>
    <row r="23" spans="1:7" x14ac:dyDescent="0.25">
      <c r="A23" s="2"/>
      <c r="B23" s="10" t="s">
        <v>59</v>
      </c>
      <c r="C23" s="14">
        <v>12</v>
      </c>
      <c r="D23" t="s">
        <v>60</v>
      </c>
      <c r="F23" s="13">
        <v>12</v>
      </c>
      <c r="G23" t="s">
        <v>60</v>
      </c>
    </row>
    <row r="24" spans="1:7" x14ac:dyDescent="0.25">
      <c r="A24" s="2"/>
      <c r="B24" s="10" t="s">
        <v>61</v>
      </c>
      <c r="C24" s="14">
        <v>2541</v>
      </c>
      <c r="D24" t="s">
        <v>13</v>
      </c>
      <c r="F24" s="13">
        <v>2541</v>
      </c>
      <c r="G24" t="s">
        <v>13</v>
      </c>
    </row>
    <row r="25" spans="1:7" x14ac:dyDescent="0.25">
      <c r="A25" s="2"/>
      <c r="B25" s="10" t="s">
        <v>62</v>
      </c>
      <c r="C25" s="24">
        <v>44691.770833333336</v>
      </c>
      <c r="F25" s="23">
        <v>44691.770833333336</v>
      </c>
    </row>
    <row r="26" spans="1:7" x14ac:dyDescent="0.25">
      <c r="A26" s="2"/>
      <c r="B26" s="10" t="s">
        <v>63</v>
      </c>
      <c r="C26" s="24">
        <v>44700.166666666664</v>
      </c>
      <c r="F26" s="23">
        <v>44700.166666666664</v>
      </c>
    </row>
    <row r="27" spans="1:7" x14ac:dyDescent="0.25">
      <c r="A27" s="2"/>
    </row>
    <row r="28" spans="1:7" x14ac:dyDescent="0.25">
      <c r="A28" s="2" t="s">
        <v>37</v>
      </c>
      <c r="B28" s="10" t="s">
        <v>16</v>
      </c>
      <c r="C28" s="18">
        <f>(C26-C25)*24</f>
        <v>201.49999999988358</v>
      </c>
      <c r="D28" t="s">
        <v>17</v>
      </c>
    </row>
    <row r="29" spans="1:7" x14ac:dyDescent="0.25">
      <c r="A29" s="2"/>
      <c r="B29" s="10" t="s">
        <v>28</v>
      </c>
      <c r="C29" s="12">
        <f>C24/C28</f>
        <v>12.610421836235574</v>
      </c>
      <c r="D29" t="s">
        <v>4</v>
      </c>
    </row>
    <row r="30" spans="1:7" x14ac:dyDescent="0.25">
      <c r="A30" s="2" t="s">
        <v>64</v>
      </c>
      <c r="B30" s="10" t="s">
        <v>65</v>
      </c>
      <c r="C30" s="12">
        <f>(C29/C22)^3*C23*C28/24</f>
        <v>73.62915078606369</v>
      </c>
      <c r="D30" t="s">
        <v>66</v>
      </c>
    </row>
    <row r="31" spans="1:7" x14ac:dyDescent="0.25">
      <c r="A31" s="2" t="s">
        <v>67</v>
      </c>
      <c r="B31" s="10" t="s">
        <v>70</v>
      </c>
      <c r="C31" s="25">
        <v>850</v>
      </c>
      <c r="D31" t="s">
        <v>69</v>
      </c>
      <c r="E31" t="s">
        <v>73</v>
      </c>
      <c r="F31" t="s">
        <v>159</v>
      </c>
    </row>
    <row r="32" spans="1:7" x14ac:dyDescent="0.25">
      <c r="B32" s="10" t="s">
        <v>71</v>
      </c>
      <c r="C32" s="14">
        <v>40</v>
      </c>
      <c r="D32" s="3" t="s">
        <v>68</v>
      </c>
    </row>
    <row r="33" spans="2:4" x14ac:dyDescent="0.25">
      <c r="B33" s="10" t="s">
        <v>72</v>
      </c>
      <c r="C33" s="18">
        <f>C31-0.64*(C32-15)</f>
        <v>834</v>
      </c>
      <c r="D33" s="3" t="s">
        <v>69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FAE53-750D-46A5-8BD8-C8DDEB004C5E}">
  <dimension ref="A3:G25"/>
  <sheetViews>
    <sheetView workbookViewId="0">
      <selection activeCell="C21" sqref="C21:C22"/>
    </sheetView>
  </sheetViews>
  <sheetFormatPr defaultRowHeight="15" x14ac:dyDescent="0.25"/>
  <cols>
    <col min="2" max="2" width="14.5703125" customWidth="1"/>
  </cols>
  <sheetData>
    <row r="3" spans="1:7" x14ac:dyDescent="0.25">
      <c r="B3" t="s">
        <v>0</v>
      </c>
    </row>
    <row r="4" spans="1:7" x14ac:dyDescent="0.25">
      <c r="B4" s="10" t="s">
        <v>41</v>
      </c>
      <c r="C4" s="14">
        <v>2</v>
      </c>
      <c r="F4" s="13">
        <v>2</v>
      </c>
    </row>
    <row r="5" spans="1:7" x14ac:dyDescent="0.25">
      <c r="B5" s="10" t="s">
        <v>28</v>
      </c>
      <c r="C5" s="14">
        <v>15</v>
      </c>
      <c r="D5" t="s">
        <v>4</v>
      </c>
      <c r="F5" s="13">
        <v>15</v>
      </c>
      <c r="G5" t="s">
        <v>4</v>
      </c>
    </row>
    <row r="6" spans="1:7" x14ac:dyDescent="0.25">
      <c r="B6" s="10" t="s">
        <v>22</v>
      </c>
      <c r="C6" s="28">
        <v>0.85</v>
      </c>
      <c r="D6" t="s">
        <v>74</v>
      </c>
      <c r="F6" s="26">
        <v>0.85</v>
      </c>
      <c r="G6" t="s">
        <v>74</v>
      </c>
    </row>
    <row r="7" spans="1:7" x14ac:dyDescent="0.25">
      <c r="B7" s="10" t="s">
        <v>40</v>
      </c>
      <c r="C7" s="29">
        <v>9</v>
      </c>
      <c r="F7" s="27">
        <v>9</v>
      </c>
    </row>
    <row r="8" spans="1:7" x14ac:dyDescent="0.25">
      <c r="B8" s="10" t="s">
        <v>29</v>
      </c>
      <c r="C8" s="14">
        <v>600</v>
      </c>
      <c r="D8" t="s">
        <v>30</v>
      </c>
      <c r="F8" s="13">
        <v>600</v>
      </c>
      <c r="G8" t="s">
        <v>30</v>
      </c>
    </row>
    <row r="9" spans="1:7" x14ac:dyDescent="0.25">
      <c r="B9" s="10" t="s">
        <v>48</v>
      </c>
      <c r="C9" s="14">
        <v>40500</v>
      </c>
      <c r="D9" t="s">
        <v>75</v>
      </c>
      <c r="F9" s="13">
        <v>40500</v>
      </c>
      <c r="G9" t="s">
        <v>75</v>
      </c>
    </row>
    <row r="10" spans="1:7" x14ac:dyDescent="0.25">
      <c r="B10" s="10" t="s">
        <v>1</v>
      </c>
      <c r="C10" s="14">
        <v>25.9</v>
      </c>
      <c r="D10" t="s">
        <v>76</v>
      </c>
      <c r="F10" s="13">
        <v>25.9</v>
      </c>
      <c r="G10" t="s">
        <v>76</v>
      </c>
    </row>
    <row r="11" spans="1:7" x14ac:dyDescent="0.25">
      <c r="B11" s="10" t="s">
        <v>77</v>
      </c>
      <c r="C11" s="14">
        <v>320</v>
      </c>
      <c r="D11" t="s">
        <v>42</v>
      </c>
      <c r="F11" s="13">
        <v>320</v>
      </c>
      <c r="G11" t="s">
        <v>42</v>
      </c>
    </row>
    <row r="12" spans="1:7" x14ac:dyDescent="0.25">
      <c r="B12" s="10" t="s">
        <v>44</v>
      </c>
      <c r="C12" s="14">
        <v>480</v>
      </c>
      <c r="D12" t="s">
        <v>42</v>
      </c>
      <c r="F12" s="13">
        <v>480</v>
      </c>
      <c r="G12" t="s">
        <v>42</v>
      </c>
    </row>
    <row r="13" spans="1:7" x14ac:dyDescent="0.25">
      <c r="B13" s="10" t="s">
        <v>10</v>
      </c>
      <c r="C13" s="14">
        <v>177</v>
      </c>
      <c r="D13" t="s">
        <v>11</v>
      </c>
      <c r="F13" s="13">
        <v>177</v>
      </c>
      <c r="G13" t="s">
        <v>11</v>
      </c>
    </row>
    <row r="15" spans="1:7" x14ac:dyDescent="0.25">
      <c r="A15" s="2" t="s">
        <v>15</v>
      </c>
      <c r="B15" s="10" t="s">
        <v>78</v>
      </c>
      <c r="C15" s="19">
        <f>C10*(C11/1000)^2*PI()/4*C12*C7/C4</f>
        <v>4499.283440958141</v>
      </c>
      <c r="D15" t="s">
        <v>2</v>
      </c>
    </row>
    <row r="16" spans="1:7" x14ac:dyDescent="0.25">
      <c r="A16" s="2" t="s">
        <v>18</v>
      </c>
      <c r="B16" s="10" t="s">
        <v>46</v>
      </c>
      <c r="C16" s="18">
        <f>2*C12/1000*C8/60</f>
        <v>9.6</v>
      </c>
      <c r="D16" t="s">
        <v>47</v>
      </c>
    </row>
    <row r="17" spans="1:7" x14ac:dyDescent="0.25">
      <c r="A17" s="2" t="s">
        <v>23</v>
      </c>
      <c r="B17" s="10" t="s">
        <v>79</v>
      </c>
      <c r="C17" s="18">
        <f>C15*C13/1000</f>
        <v>796.37316904959096</v>
      </c>
      <c r="D17" t="s">
        <v>80</v>
      </c>
    </row>
    <row r="18" spans="1:7" x14ac:dyDescent="0.25">
      <c r="A18" s="2"/>
      <c r="C18" s="12">
        <f>C17*0.85</f>
        <v>676.9171936921523</v>
      </c>
      <c r="D18" t="s">
        <v>55</v>
      </c>
      <c r="E18" s="1">
        <f>C18*24</f>
        <v>16246.012648611655</v>
      </c>
      <c r="F18" t="s">
        <v>56</v>
      </c>
    </row>
    <row r="19" spans="1:7" x14ac:dyDescent="0.25">
      <c r="A19" s="2"/>
    </row>
    <row r="20" spans="1:7" x14ac:dyDescent="0.25">
      <c r="A20" s="2"/>
      <c r="B20" t="s">
        <v>81</v>
      </c>
    </row>
    <row r="21" spans="1:7" x14ac:dyDescent="0.25">
      <c r="A21" s="2"/>
      <c r="B21" s="10" t="s">
        <v>82</v>
      </c>
      <c r="C21" s="14">
        <v>1915</v>
      </c>
      <c r="D21" t="s">
        <v>13</v>
      </c>
      <c r="F21" s="13">
        <v>1915</v>
      </c>
      <c r="G21" t="s">
        <v>13</v>
      </c>
    </row>
    <row r="22" spans="1:7" x14ac:dyDescent="0.25">
      <c r="A22" s="2"/>
      <c r="B22" s="10" t="s">
        <v>31</v>
      </c>
      <c r="C22" s="14">
        <v>13</v>
      </c>
      <c r="D22" t="s">
        <v>4</v>
      </c>
      <c r="F22" s="13">
        <v>13</v>
      </c>
      <c r="G22" t="s">
        <v>4</v>
      </c>
    </row>
    <row r="23" spans="1:7" x14ac:dyDescent="0.25">
      <c r="A23" s="2" t="s">
        <v>36</v>
      </c>
      <c r="B23" s="10" t="s">
        <v>16</v>
      </c>
      <c r="C23" s="12">
        <f>C21/C22</f>
        <v>147.30769230769232</v>
      </c>
      <c r="D23" t="s">
        <v>17</v>
      </c>
    </row>
    <row r="24" spans="1:7" x14ac:dyDescent="0.25">
      <c r="B24" s="10" t="s">
        <v>83</v>
      </c>
      <c r="C24" s="18">
        <f>(C22/C5)^3*C18</f>
        <v>440.64802208641743</v>
      </c>
      <c r="D24" t="s">
        <v>55</v>
      </c>
    </row>
    <row r="25" spans="1:7" x14ac:dyDescent="0.25">
      <c r="B25" s="10" t="s">
        <v>84</v>
      </c>
      <c r="C25" s="19">
        <f>C24*C23</f>
        <v>64910.843253499188</v>
      </c>
      <c r="D25" t="s">
        <v>85</v>
      </c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6F03-DFDF-436E-96D3-0B1D0CB72D56}">
  <dimension ref="A3:G18"/>
  <sheetViews>
    <sheetView workbookViewId="0">
      <selection activeCell="C16" sqref="C16"/>
    </sheetView>
  </sheetViews>
  <sheetFormatPr defaultRowHeight="15" x14ac:dyDescent="0.25"/>
  <cols>
    <col min="2" max="2" width="11" customWidth="1"/>
  </cols>
  <sheetData>
    <row r="3" spans="1:7" x14ac:dyDescent="0.25">
      <c r="B3" t="s">
        <v>0</v>
      </c>
    </row>
    <row r="5" spans="1:7" x14ac:dyDescent="0.25">
      <c r="B5" s="10" t="s">
        <v>61</v>
      </c>
      <c r="C5" s="14">
        <v>3342</v>
      </c>
      <c r="D5" t="s">
        <v>13</v>
      </c>
      <c r="F5" s="13">
        <v>3342</v>
      </c>
      <c r="G5" t="s">
        <v>13</v>
      </c>
    </row>
    <row r="6" spans="1:7" x14ac:dyDescent="0.25">
      <c r="B6" s="10" t="s">
        <v>16</v>
      </c>
      <c r="C6" s="14">
        <v>210</v>
      </c>
      <c r="D6" t="s">
        <v>17</v>
      </c>
      <c r="F6" s="13">
        <v>210</v>
      </c>
      <c r="G6" t="s">
        <v>17</v>
      </c>
    </row>
    <row r="7" spans="1:7" x14ac:dyDescent="0.25">
      <c r="B7" t="s">
        <v>90</v>
      </c>
    </row>
    <row r="8" spans="1:7" x14ac:dyDescent="0.25">
      <c r="B8" s="10" t="s">
        <v>28</v>
      </c>
      <c r="C8" s="14">
        <v>18</v>
      </c>
      <c r="D8" t="s">
        <v>4</v>
      </c>
      <c r="F8" s="13">
        <v>18</v>
      </c>
      <c r="G8" t="s">
        <v>4</v>
      </c>
    </row>
    <row r="9" spans="1:7" x14ac:dyDescent="0.25">
      <c r="B9" s="10" t="s">
        <v>65</v>
      </c>
      <c r="C9" s="14">
        <v>70</v>
      </c>
      <c r="D9" t="s">
        <v>60</v>
      </c>
      <c r="F9" s="13">
        <v>70</v>
      </c>
      <c r="G9" t="s">
        <v>60</v>
      </c>
    </row>
    <row r="11" spans="1:7" x14ac:dyDescent="0.25">
      <c r="A11" s="2" t="s">
        <v>15</v>
      </c>
      <c r="B11" s="10" t="s">
        <v>28</v>
      </c>
      <c r="C11" s="12">
        <f>C5/C6</f>
        <v>15.914285714285715</v>
      </c>
      <c r="D11" t="s">
        <v>4</v>
      </c>
    </row>
    <row r="12" spans="1:7" x14ac:dyDescent="0.25">
      <c r="A12" s="2" t="s">
        <v>18</v>
      </c>
      <c r="B12" s="10" t="s">
        <v>91</v>
      </c>
      <c r="C12" s="19">
        <f>(C11/C8)^3*C9/24*1000</f>
        <v>2015.7224625103809</v>
      </c>
      <c r="D12" t="s">
        <v>92</v>
      </c>
    </row>
    <row r="13" spans="1:7" x14ac:dyDescent="0.25">
      <c r="A13" s="2" t="s">
        <v>93</v>
      </c>
      <c r="B13" s="10" t="s">
        <v>94</v>
      </c>
      <c r="C13" s="12">
        <f>C12*C6/1000</f>
        <v>423.30171712717998</v>
      </c>
      <c r="D13" t="s">
        <v>66</v>
      </c>
    </row>
    <row r="14" spans="1:7" x14ac:dyDescent="0.25">
      <c r="A14" s="2"/>
    </row>
    <row r="15" spans="1:7" x14ac:dyDescent="0.25">
      <c r="A15" s="2" t="s">
        <v>36</v>
      </c>
    </row>
    <row r="16" spans="1:7" x14ac:dyDescent="0.25">
      <c r="B16" s="10" t="s">
        <v>95</v>
      </c>
      <c r="C16" s="14">
        <v>24</v>
      </c>
      <c r="D16" t="s">
        <v>17</v>
      </c>
      <c r="F16" s="13">
        <v>24</v>
      </c>
      <c r="G16" t="s">
        <v>17</v>
      </c>
    </row>
    <row r="17" spans="2:4" x14ac:dyDescent="0.25">
      <c r="B17" s="10" t="s">
        <v>28</v>
      </c>
      <c r="C17" s="12">
        <f>C5/(C6+C16)</f>
        <v>14.282051282051283</v>
      </c>
      <c r="D17" t="s">
        <v>4</v>
      </c>
    </row>
    <row r="18" spans="2:4" x14ac:dyDescent="0.25">
      <c r="B18" s="10" t="s">
        <v>79</v>
      </c>
      <c r="C18" s="12">
        <f>(C17/C8)^3*C9/24*(C16+C6)</f>
        <v>340.92347368888602</v>
      </c>
      <c r="D18" t="s">
        <v>66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880C-F308-4A07-A237-C74A2A189489}">
  <dimension ref="A3:I45"/>
  <sheetViews>
    <sheetView topLeftCell="A16" workbookViewId="0">
      <selection activeCell="C38" sqref="C38"/>
    </sheetView>
  </sheetViews>
  <sheetFormatPr defaultRowHeight="15" x14ac:dyDescent="0.25"/>
  <cols>
    <col min="2" max="2" width="32.5703125" customWidth="1"/>
  </cols>
  <sheetData>
    <row r="3" spans="1:9" x14ac:dyDescent="0.25">
      <c r="B3" t="s">
        <v>0</v>
      </c>
    </row>
    <row r="5" spans="1:9" x14ac:dyDescent="0.25">
      <c r="B5" s="10" t="s">
        <v>61</v>
      </c>
      <c r="C5" s="14">
        <v>1704</v>
      </c>
      <c r="D5" t="s">
        <v>13</v>
      </c>
      <c r="H5" s="13">
        <v>1704</v>
      </c>
      <c r="I5" t="s">
        <v>13</v>
      </c>
    </row>
    <row r="6" spans="1:9" x14ac:dyDescent="0.25">
      <c r="B6" s="10" t="s">
        <v>86</v>
      </c>
      <c r="C6" s="14">
        <v>14</v>
      </c>
      <c r="D6" t="s">
        <v>4</v>
      </c>
      <c r="H6" s="13">
        <v>14</v>
      </c>
      <c r="I6" t="s">
        <v>4</v>
      </c>
    </row>
    <row r="7" spans="1:9" x14ac:dyDescent="0.25">
      <c r="B7" s="10" t="s">
        <v>87</v>
      </c>
      <c r="C7" s="14">
        <v>720</v>
      </c>
      <c r="D7" t="s">
        <v>88</v>
      </c>
      <c r="H7" s="13">
        <v>720</v>
      </c>
      <c r="I7" t="s">
        <v>88</v>
      </c>
    </row>
    <row r="8" spans="1:9" x14ac:dyDescent="0.25">
      <c r="B8" s="10" t="s">
        <v>102</v>
      </c>
      <c r="C8" s="14">
        <v>10</v>
      </c>
      <c r="D8" t="s">
        <v>4</v>
      </c>
      <c r="H8" s="13">
        <v>10</v>
      </c>
      <c r="I8" t="s">
        <v>4</v>
      </c>
    </row>
    <row r="10" spans="1:9" x14ac:dyDescent="0.25">
      <c r="A10" t="s">
        <v>15</v>
      </c>
      <c r="B10" s="10" t="s">
        <v>89</v>
      </c>
      <c r="C10" s="12">
        <f>10/C6*C7</f>
        <v>514.28571428571433</v>
      </c>
      <c r="D10" t="s">
        <v>88</v>
      </c>
    </row>
    <row r="11" spans="1:9" x14ac:dyDescent="0.25">
      <c r="A11" t="s">
        <v>18</v>
      </c>
      <c r="B11" s="10" t="s">
        <v>16</v>
      </c>
      <c r="C11" s="18">
        <f>C5/10</f>
        <v>170.4</v>
      </c>
      <c r="D11" t="s">
        <v>17</v>
      </c>
    </row>
    <row r="12" spans="1:9" x14ac:dyDescent="0.25">
      <c r="A12" t="s">
        <v>23</v>
      </c>
      <c r="B12" s="10" t="s">
        <v>96</v>
      </c>
      <c r="C12" s="18">
        <f>1704/2</f>
        <v>852</v>
      </c>
      <c r="D12" t="s">
        <v>97</v>
      </c>
    </row>
    <row r="13" spans="1:9" x14ac:dyDescent="0.25">
      <c r="B13" s="10" t="s">
        <v>98</v>
      </c>
      <c r="C13" s="12">
        <f>C12/C6</f>
        <v>60.857142857142854</v>
      </c>
      <c r="D13" t="s">
        <v>17</v>
      </c>
    </row>
    <row r="14" spans="1:9" x14ac:dyDescent="0.25">
      <c r="B14" s="10" t="s">
        <v>16</v>
      </c>
      <c r="C14" s="12">
        <f>C11/2+C13</f>
        <v>146.05714285714285</v>
      </c>
      <c r="D14" t="s">
        <v>17</v>
      </c>
    </row>
    <row r="16" spans="1:9" x14ac:dyDescent="0.25">
      <c r="B16" t="s">
        <v>0</v>
      </c>
    </row>
    <row r="17" spans="1:9" x14ac:dyDescent="0.25">
      <c r="B17" s="10" t="s">
        <v>28</v>
      </c>
      <c r="C17" s="14">
        <v>12.5</v>
      </c>
      <c r="D17" t="s">
        <v>4</v>
      </c>
      <c r="H17" s="13">
        <v>12.5</v>
      </c>
      <c r="I17" t="s">
        <v>4</v>
      </c>
    </row>
    <row r="18" spans="1:9" x14ac:dyDescent="0.25">
      <c r="B18" s="10" t="s">
        <v>1</v>
      </c>
      <c r="C18" s="14">
        <v>3850</v>
      </c>
      <c r="D18" t="s">
        <v>2</v>
      </c>
      <c r="H18" s="13">
        <v>3850</v>
      </c>
      <c r="I18" t="s">
        <v>2</v>
      </c>
    </row>
    <row r="19" spans="1:9" x14ac:dyDescent="0.25">
      <c r="B19" s="10" t="s">
        <v>99</v>
      </c>
      <c r="C19" s="14">
        <v>181</v>
      </c>
      <c r="D19" t="s">
        <v>11</v>
      </c>
      <c r="H19" s="13">
        <v>181</v>
      </c>
      <c r="I19" t="s">
        <v>11</v>
      </c>
    </row>
    <row r="21" spans="1:9" x14ac:dyDescent="0.25">
      <c r="A21" t="s">
        <v>36</v>
      </c>
      <c r="B21" s="10" t="s">
        <v>100</v>
      </c>
      <c r="C21" s="15">
        <f>C18*C19/1000</f>
        <v>696.85</v>
      </c>
      <c r="D21" t="s">
        <v>55</v>
      </c>
    </row>
    <row r="22" spans="1:9" x14ac:dyDescent="0.25">
      <c r="B22" s="10" t="s">
        <v>101</v>
      </c>
      <c r="C22" s="16">
        <f>(C8/C17)^3*C21*C11</f>
        <v>60796.538880000022</v>
      </c>
      <c r="D22" t="s">
        <v>25</v>
      </c>
      <c r="E22" s="10" t="s">
        <v>104</v>
      </c>
      <c r="F22" s="15">
        <f>C22/2</f>
        <v>30398.269440000011</v>
      </c>
      <c r="G22" t="s">
        <v>25</v>
      </c>
    </row>
    <row r="23" spans="1:9" x14ac:dyDescent="0.25">
      <c r="B23" s="10" t="s">
        <v>103</v>
      </c>
      <c r="C23" s="15">
        <f>C5/C6</f>
        <v>121.71428571428571</v>
      </c>
      <c r="D23" t="s">
        <v>17</v>
      </c>
      <c r="E23" s="10" t="s">
        <v>104</v>
      </c>
      <c r="F23" s="15">
        <f>C23/2</f>
        <v>60.857142857142854</v>
      </c>
      <c r="G23" t="s">
        <v>17</v>
      </c>
    </row>
    <row r="24" spans="1:9" x14ac:dyDescent="0.25">
      <c r="B24" s="10" t="s">
        <v>105</v>
      </c>
      <c r="C24" s="17">
        <f>(C6/C17)^3*C21</f>
        <v>979.02407680000033</v>
      </c>
      <c r="D24" t="s">
        <v>55</v>
      </c>
    </row>
    <row r="25" spans="1:9" x14ac:dyDescent="0.25">
      <c r="B25" s="10" t="s">
        <v>106</v>
      </c>
      <c r="C25" s="16">
        <f>(C24*F23)+F22</f>
        <v>89978.877542400034</v>
      </c>
      <c r="D25" t="s">
        <v>85</v>
      </c>
    </row>
    <row r="26" spans="1:9" x14ac:dyDescent="0.25">
      <c r="B26" s="10" t="s">
        <v>107</v>
      </c>
      <c r="C26" s="19">
        <f>C25-C22</f>
        <v>29182.338662400012</v>
      </c>
      <c r="D26" t="s">
        <v>25</v>
      </c>
    </row>
    <row r="27" spans="1:9" x14ac:dyDescent="0.25">
      <c r="C27" s="1"/>
    </row>
    <row r="28" spans="1:9" x14ac:dyDescent="0.25">
      <c r="B28" t="s">
        <v>0</v>
      </c>
    </row>
    <row r="29" spans="1:9" x14ac:dyDescent="0.25">
      <c r="B29" s="10" t="s">
        <v>108</v>
      </c>
      <c r="C29" s="14">
        <v>24</v>
      </c>
      <c r="D29" t="s">
        <v>17</v>
      </c>
      <c r="H29" s="13">
        <v>24</v>
      </c>
      <c r="I29" t="s">
        <v>17</v>
      </c>
    </row>
    <row r="30" spans="1:9" x14ac:dyDescent="0.25">
      <c r="A30" t="s">
        <v>37</v>
      </c>
      <c r="B30" s="10" t="s">
        <v>109</v>
      </c>
      <c r="C30" s="15">
        <f>C11-C29</f>
        <v>146.4</v>
      </c>
      <c r="D30" t="s">
        <v>17</v>
      </c>
    </row>
    <row r="31" spans="1:9" x14ac:dyDescent="0.25">
      <c r="B31" s="10" t="s">
        <v>28</v>
      </c>
      <c r="C31" s="17">
        <f>C5/C30</f>
        <v>11.639344262295081</v>
      </c>
      <c r="D31" t="s">
        <v>4</v>
      </c>
    </row>
    <row r="32" spans="1:9" x14ac:dyDescent="0.25">
      <c r="B32" s="10" t="s">
        <v>94</v>
      </c>
      <c r="C32" s="19">
        <f>(C31/C17)^3*C21*C30</f>
        <v>82363.706663284058</v>
      </c>
      <c r="D32" t="s">
        <v>25</v>
      </c>
    </row>
    <row r="34" spans="1:9" x14ac:dyDescent="0.25">
      <c r="A34" t="s">
        <v>64</v>
      </c>
      <c r="B34" s="10" t="s">
        <v>16</v>
      </c>
      <c r="C34" s="17">
        <f>C5/C6</f>
        <v>121.71428571428571</v>
      </c>
      <c r="D34" t="s">
        <v>17</v>
      </c>
    </row>
    <row r="35" spans="1:9" x14ac:dyDescent="0.25">
      <c r="B35" s="10" t="s">
        <v>94</v>
      </c>
      <c r="C35" s="19">
        <f>(C6/C17)^3*C21*C34</f>
        <v>119161.21620480003</v>
      </c>
      <c r="D35" t="s">
        <v>25</v>
      </c>
    </row>
    <row r="36" spans="1:9" x14ac:dyDescent="0.25">
      <c r="C36" s="1"/>
    </row>
    <row r="37" spans="1:9" x14ac:dyDescent="0.25">
      <c r="B37" t="s">
        <v>0</v>
      </c>
      <c r="C37" s="1"/>
    </row>
    <row r="38" spans="1:9" x14ac:dyDescent="0.25">
      <c r="B38" s="10" t="s">
        <v>112</v>
      </c>
      <c r="C38" s="14">
        <v>100</v>
      </c>
      <c r="D38" t="s">
        <v>55</v>
      </c>
      <c r="H38" s="13">
        <v>100</v>
      </c>
      <c r="I38" t="s">
        <v>55</v>
      </c>
    </row>
    <row r="39" spans="1:9" x14ac:dyDescent="0.25">
      <c r="A39" t="s">
        <v>67</v>
      </c>
      <c r="B39" s="10" t="s">
        <v>110</v>
      </c>
      <c r="C39" s="16">
        <f>C22</f>
        <v>60796.538880000022</v>
      </c>
      <c r="D39" t="s">
        <v>25</v>
      </c>
    </row>
    <row r="40" spans="1:9" x14ac:dyDescent="0.25">
      <c r="B40" s="10" t="s">
        <v>111</v>
      </c>
      <c r="C40" s="15">
        <f>C38*C11</f>
        <v>17040</v>
      </c>
      <c r="D40" t="s">
        <v>25</v>
      </c>
      <c r="E40" s="10" t="s">
        <v>114</v>
      </c>
      <c r="F40" s="16">
        <f>C39+C40</f>
        <v>77836.538880000022</v>
      </c>
      <c r="G40" t="s">
        <v>25</v>
      </c>
    </row>
    <row r="42" spans="1:9" x14ac:dyDescent="0.25">
      <c r="B42" s="10" t="s">
        <v>113</v>
      </c>
      <c r="C42" s="16">
        <f>C35</f>
        <v>119161.21620480003</v>
      </c>
      <c r="D42" t="s">
        <v>25</v>
      </c>
    </row>
    <row r="43" spans="1:9" x14ac:dyDescent="0.25">
      <c r="B43" s="10" t="s">
        <v>111</v>
      </c>
      <c r="C43" s="16">
        <f>(C5/C6)*C38</f>
        <v>12171.428571428571</v>
      </c>
      <c r="D43" t="s">
        <v>25</v>
      </c>
      <c r="E43" s="10" t="s">
        <v>114</v>
      </c>
      <c r="F43" s="16">
        <f>C42+C43</f>
        <v>131332.64477622861</v>
      </c>
      <c r="G43" t="s">
        <v>25</v>
      </c>
    </row>
    <row r="45" spans="1:9" x14ac:dyDescent="0.25">
      <c r="E45" s="18" t="s">
        <v>107</v>
      </c>
      <c r="F45" s="19">
        <f>F43-F40</f>
        <v>53496.10589622859</v>
      </c>
      <c r="G45" t="s">
        <v>25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Toelichting</vt:lpstr>
      <vt:lpstr>Vraag 25</vt:lpstr>
      <vt:lpstr>Vraag 26</vt:lpstr>
      <vt:lpstr>Vraag 27</vt:lpstr>
      <vt:lpstr>Vraag 28</vt:lpstr>
      <vt:lpstr>Vraag 53</vt:lpstr>
      <vt:lpstr>Vraag 54</vt:lpstr>
      <vt:lpstr>Vraag 55</vt:lpstr>
      <vt:lpstr>Vraag 56</vt:lpstr>
      <vt:lpstr>Vraag 57</vt:lpstr>
      <vt:lpstr>Vraag 58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Strating</dc:creator>
  <cp:lastModifiedBy>Albert Strating</cp:lastModifiedBy>
  <dcterms:created xsi:type="dcterms:W3CDTF">2022-12-29T14:32:50Z</dcterms:created>
  <dcterms:modified xsi:type="dcterms:W3CDTF">2023-01-09T13:39:30Z</dcterms:modified>
</cp:coreProperties>
</file>